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2240" yWindow="400" windowWidth="16000" windowHeight="11540" tabRatio="500" firstSheet="1" activeTab="1"/>
  </bookViews>
  <sheets>
    <sheet name="Scooter" sheetId="1" r:id="rId1"/>
    <sheet name="Scooter Repeated" sheetId="3" r:id="rId2"/>
    <sheet name="Condoms" sheetId="2" r:id="rId3"/>
    <sheet name="Calculation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C15" i="2"/>
  <c r="C14" i="2"/>
  <c r="C12" i="2"/>
  <c r="C11" i="2"/>
  <c r="C7" i="2"/>
  <c r="C6" i="2"/>
  <c r="C4" i="2"/>
  <c r="C10" i="3"/>
  <c r="C11" i="3"/>
  <c r="D11" i="3"/>
  <c r="D5" i="3"/>
  <c r="D4" i="3"/>
  <c r="D3" i="3"/>
  <c r="A21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B19" i="4"/>
  <c r="B25" i="4"/>
  <c r="B24" i="4"/>
  <c r="T17" i="4"/>
  <c r="U17" i="4"/>
  <c r="V17" i="4"/>
  <c r="W17" i="4"/>
  <c r="X17" i="4"/>
  <c r="Y17" i="4"/>
  <c r="Z17" i="4"/>
  <c r="AA17" i="4"/>
  <c r="AB17" i="4"/>
  <c r="S17" i="4"/>
  <c r="B21" i="4"/>
  <c r="B22" i="4"/>
  <c r="T7" i="4"/>
  <c r="U7" i="4"/>
  <c r="V7" i="4"/>
  <c r="W7" i="4"/>
  <c r="X7" i="4"/>
  <c r="Y7" i="4"/>
  <c r="Z7" i="4"/>
  <c r="AA7" i="4"/>
  <c r="AB7" i="4"/>
  <c r="S7" i="4"/>
  <c r="AB8" i="4"/>
  <c r="AA8" i="4"/>
  <c r="Z8" i="4"/>
  <c r="Y8" i="4"/>
  <c r="S8" i="4"/>
  <c r="T8" i="4"/>
  <c r="U8" i="4"/>
  <c r="V8" i="4"/>
  <c r="W8" i="4"/>
  <c r="X8" i="4"/>
  <c r="B9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C8" i="4"/>
  <c r="D3" i="4"/>
  <c r="E4" i="4"/>
  <c r="R16" i="4"/>
  <c r="Q16" i="4"/>
  <c r="P16" i="4"/>
  <c r="O16" i="4"/>
  <c r="N16" i="4"/>
  <c r="M16" i="4"/>
  <c r="L16" i="4"/>
  <c r="K16" i="4"/>
  <c r="J16" i="4"/>
  <c r="I15" i="4"/>
  <c r="H15" i="4"/>
  <c r="G15" i="4"/>
  <c r="F15" i="4"/>
  <c r="E14" i="4"/>
  <c r="D13" i="4"/>
  <c r="C12" i="4"/>
  <c r="K6" i="4"/>
  <c r="L6" i="4"/>
  <c r="M6" i="4"/>
  <c r="N6" i="4"/>
  <c r="O6" i="4"/>
  <c r="P6" i="4"/>
  <c r="Q6" i="4"/>
  <c r="R6" i="4"/>
  <c r="J6" i="4"/>
  <c r="G5" i="4"/>
  <c r="H5" i="4"/>
  <c r="I5" i="4"/>
  <c r="F5" i="4"/>
  <c r="C2" i="4"/>
  <c r="C13" i="3"/>
  <c r="K3" i="3"/>
  <c r="K4" i="3"/>
  <c r="K5" i="3"/>
  <c r="K6" i="3"/>
  <c r="K2" i="3"/>
  <c r="K7" i="3"/>
  <c r="R7" i="3"/>
  <c r="Q7" i="3"/>
  <c r="K12" i="3"/>
  <c r="K13" i="3"/>
  <c r="K10" i="3"/>
  <c r="K11" i="3"/>
  <c r="K14" i="3"/>
  <c r="Q14" i="3"/>
  <c r="R14" i="3"/>
  <c r="S7" i="3"/>
  <c r="O7" i="3"/>
  <c r="S14" i="3"/>
  <c r="O14" i="3"/>
  <c r="C6" i="3"/>
  <c r="I3" i="1"/>
  <c r="O3" i="1"/>
  <c r="P3" i="1"/>
  <c r="Q3" i="1"/>
  <c r="M3" i="1"/>
  <c r="I2" i="1"/>
  <c r="O2" i="1"/>
  <c r="P2" i="1"/>
  <c r="Q2" i="1"/>
  <c r="M2" i="1"/>
  <c r="J5" i="2"/>
  <c r="J6" i="2"/>
  <c r="J7" i="2"/>
  <c r="C3" i="2"/>
  <c r="J3" i="2"/>
  <c r="J4" i="2"/>
  <c r="J2" i="2"/>
  <c r="J8" i="2"/>
</calcChain>
</file>

<file path=xl/sharedStrings.xml><?xml version="1.0" encoding="utf-8"?>
<sst xmlns="http://schemas.openxmlformats.org/spreadsheetml/2006/main" count="76" uniqueCount="43">
  <si>
    <t>Number of Customers</t>
  </si>
  <si>
    <t>Awareness of Product</t>
  </si>
  <si>
    <t>Availability of Product</t>
  </si>
  <si>
    <t>Will Definitely Buy</t>
  </si>
  <si>
    <t>Will Probably Buy</t>
  </si>
  <si>
    <t>Conversion Rate of Probably</t>
  </si>
  <si>
    <t>TOTAL SALES</t>
  </si>
  <si>
    <t>Notes</t>
  </si>
  <si>
    <t>TOTAL SALES Year</t>
  </si>
  <si>
    <t>Repeated Sales</t>
  </si>
  <si>
    <t>Fraction of Customers</t>
  </si>
  <si>
    <r>
      <t>–</t>
    </r>
    <r>
      <rPr>
        <sz val="12"/>
        <color rgb="FFFC3E00"/>
        <rFont val="Arial Narrow"/>
      </rPr>
      <t xml:space="preserve">1-2 a year: </t>
    </r>
  </si>
  <si>
    <r>
      <t>–</t>
    </r>
    <r>
      <rPr>
        <sz val="12"/>
        <color rgb="FFFC3E00"/>
        <rFont val="Arial Narrow"/>
      </rPr>
      <t xml:space="preserve">Once a month: </t>
    </r>
  </si>
  <si>
    <r>
      <t>–</t>
    </r>
    <r>
      <rPr>
        <sz val="12"/>
        <color rgb="FFFC3E00"/>
        <rFont val="Arial Narrow"/>
      </rPr>
      <t xml:space="preserve">2-3 times month: </t>
    </r>
  </si>
  <si>
    <r>
      <t>–</t>
    </r>
    <r>
      <rPr>
        <sz val="12"/>
        <color rgb="FFFC3E00"/>
        <rFont val="Arial Narrow"/>
      </rPr>
      <t xml:space="preserve">Weekly: </t>
    </r>
  </si>
  <si>
    <r>
      <t>–</t>
    </r>
    <r>
      <rPr>
        <sz val="12"/>
        <color rgb="FFFC3E00"/>
        <rFont val="Arial Narrow"/>
      </rPr>
      <t xml:space="preserve">2-3 per week: </t>
    </r>
  </si>
  <si>
    <r>
      <t>–</t>
    </r>
    <r>
      <rPr>
        <sz val="12"/>
        <color rgb="FFFC3E00"/>
        <rFont val="Arial Narrow"/>
      </rPr>
      <t xml:space="preserve">4+times a week: </t>
    </r>
  </si>
  <si>
    <t>Price Point</t>
  </si>
  <si>
    <t>Out-of-Factory</t>
  </si>
  <si>
    <t>Conversion Rate of Definitely</t>
  </si>
  <si>
    <t>Reseller Margin</t>
  </si>
  <si>
    <t>Distributor Margin</t>
  </si>
  <si>
    <t>Manuf Costs</t>
  </si>
  <si>
    <t>Yearly Profit</t>
  </si>
  <si>
    <t>Total Costs</t>
  </si>
  <si>
    <t>Total Revenues</t>
  </si>
  <si>
    <t>Scenario, Customer Type</t>
  </si>
  <si>
    <t>Students</t>
  </si>
  <si>
    <t>Factories</t>
  </si>
  <si>
    <t>Scenario</t>
  </si>
  <si>
    <t>Factory</t>
  </si>
  <si>
    <t>Type</t>
  </si>
  <si>
    <r>
      <t>–</t>
    </r>
    <r>
      <rPr>
        <sz val="12"/>
        <rFont val="Arial Narrow"/>
      </rPr>
      <t>None</t>
    </r>
  </si>
  <si>
    <r>
      <t>–</t>
    </r>
    <r>
      <rPr>
        <sz val="12"/>
        <rFont val="Arial Narrow"/>
      </rPr>
      <t>1 partner</t>
    </r>
  </si>
  <si>
    <r>
      <t>–</t>
    </r>
    <r>
      <rPr>
        <sz val="12"/>
        <rFont val="Arial Narrow"/>
      </rPr>
      <t xml:space="preserve">2 partners </t>
    </r>
  </si>
  <si>
    <r>
      <t>–</t>
    </r>
    <r>
      <rPr>
        <sz val="12"/>
        <rFont val="Arial Narrow"/>
      </rPr>
      <t>3 to 6</t>
    </r>
  </si>
  <si>
    <r>
      <t>–</t>
    </r>
    <r>
      <rPr>
        <sz val="12"/>
        <rFont val="Arial Narrow"/>
      </rPr>
      <t>7 to 15</t>
    </r>
  </si>
  <si>
    <r>
      <t>–</t>
    </r>
    <r>
      <rPr>
        <sz val="12"/>
        <rFont val="Arial Narrow"/>
      </rPr>
      <t>15+ plus</t>
    </r>
  </si>
  <si>
    <t>Man</t>
  </si>
  <si>
    <t>Woman</t>
  </si>
  <si>
    <t>Relationship</t>
  </si>
  <si>
    <t>realtionships &gt;</t>
  </si>
  <si>
    <t>#Woman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</si>
</sst>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%"/>
    <numFmt numFmtId="165" formatCode="_-&quot;€&quot;\ * #,##0_-;\-&quot;€&quot;\ * #,##0_-;_-&quot;€&quot;\ * &quot;-&quot;??_-;_-@_-"/>
    <numFmt numFmtId="166" formatCode="_-* #,##0.0_-;\-* #,##0.0_-;_-* &quot;-&quot;??_-;_-@_-"/>
    <numFmt numFmtId="167" formatCode="_-* #,##0_-;\-* #,##0_-;_-* &quot;-&quot;??_-;_-@_-"/>
    <numFmt numFmtId="168" formatCode="0.000"/>
    <numFmt numFmtId="169" formatCode="0.0000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C3E00"/>
      <name val="Arial Narrow"/>
    </font>
    <font>
      <sz val="12"/>
      <name val="Arial Narrow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3" applyFont="1" applyAlignment="1">
      <alignment horizontal="right" vertical="center"/>
    </xf>
    <xf numFmtId="43" fontId="0" fillId="0" borderId="0" xfId="0" applyNumberFormat="1" applyFont="1" applyAlignment="1">
      <alignment horizontal="left"/>
    </xf>
    <xf numFmtId="9" fontId="0" fillId="0" borderId="0" xfId="0" applyNumberFormat="1"/>
    <xf numFmtId="165" fontId="0" fillId="0" borderId="0" xfId="2" applyNumberFormat="1" applyFont="1"/>
    <xf numFmtId="9" fontId="0" fillId="0" borderId="0" xfId="3" applyFont="1"/>
    <xf numFmtId="0" fontId="0" fillId="0" borderId="0" xfId="2" applyNumberFormat="1" applyFont="1" applyAlignment="1">
      <alignment wrapText="1"/>
    </xf>
    <xf numFmtId="9" fontId="6" fillId="0" borderId="0" xfId="3" applyFont="1" applyAlignment="1">
      <alignment horizontal="right" vertical="center"/>
    </xf>
    <xf numFmtId="9" fontId="2" fillId="0" borderId="0" xfId="3" applyFont="1"/>
    <xf numFmtId="167" fontId="0" fillId="0" borderId="0" xfId="1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/>
    </xf>
    <xf numFmtId="167" fontId="0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9" fillId="0" borderId="0" xfId="0" applyFont="1"/>
    <xf numFmtId="166" fontId="8" fillId="0" borderId="0" xfId="1" applyNumberFormat="1" applyFont="1"/>
    <xf numFmtId="168" fontId="8" fillId="0" borderId="0" xfId="0" applyNumberFormat="1" applyFont="1"/>
    <xf numFmtId="9" fontId="8" fillId="0" borderId="0" xfId="3" applyFont="1"/>
    <xf numFmtId="169" fontId="8" fillId="0" borderId="0" xfId="0" applyNumberFormat="1" applyFont="1"/>
    <xf numFmtId="1" fontId="8" fillId="0" borderId="0" xfId="0" applyNumberFormat="1" applyFont="1"/>
    <xf numFmtId="0" fontId="0" fillId="0" borderId="0" xfId="0" applyAlignment="1">
      <alignment horizontal="center" vertical="center"/>
    </xf>
  </cellXfs>
  <cellStyles count="78"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Collegamento visitato" xfId="61" builtinId="9" hidden="1"/>
    <cellStyle name="Collegamento visitato" xfId="63" builtinId="9" hidden="1"/>
    <cellStyle name="Collegamento visitato" xfId="65" builtinId="9" hidden="1"/>
    <cellStyle name="Collegamento visitato" xfId="67" builtinId="9" hidden="1"/>
    <cellStyle name="Collegamento visitato" xfId="69" builtinId="9" hidden="1"/>
    <cellStyle name="Collegamento visitato" xfId="71" builtinId="9" hidden="1"/>
    <cellStyle name="Collegamento visitato" xfId="73" builtinId="9" hidden="1"/>
    <cellStyle name="Collegamento visitato" xfId="75" builtinId="9" hidden="1"/>
    <cellStyle name="Collegamento visitato" xfId="77" builtinId="9" hidden="1"/>
    <cellStyle name="Normale" xfId="0" builtinId="0"/>
    <cellStyle name="Percentuale" xfId="3" builtinId="5"/>
    <cellStyle name="Valuta" xfId="2" builtinId="4"/>
    <cellStyle name="Virgola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H1" zoomScale="200" zoomScaleNormal="200" zoomScalePageLayoutView="200" workbookViewId="0">
      <selection activeCell="J1" sqref="J1:Q1048576"/>
    </sheetView>
  </sheetViews>
  <sheetFormatPr baseColWidth="10" defaultRowHeight="15" x14ac:dyDescent="0"/>
  <cols>
    <col min="1" max="1" width="9.33203125" customWidth="1"/>
    <col min="2" max="4" width="10.5" customWidth="1"/>
    <col min="5" max="5" width="9.5" customWidth="1"/>
    <col min="7" max="7" width="8.83203125" customWidth="1"/>
    <col min="9" max="9" width="8.5" customWidth="1"/>
    <col min="10" max="10" width="10.1640625" customWidth="1"/>
    <col min="11" max="11" width="9" customWidth="1"/>
    <col min="13" max="13" width="9.5" customWidth="1"/>
    <col min="14" max="14" width="8.5" customWidth="1"/>
    <col min="15" max="17" width="10.83203125" customWidth="1"/>
  </cols>
  <sheetData>
    <row r="1" spans="1:17" ht="45">
      <c r="A1" s="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19</v>
      </c>
      <c r="G1" s="1" t="s">
        <v>4</v>
      </c>
      <c r="H1" s="1" t="s">
        <v>5</v>
      </c>
      <c r="I1" s="1" t="s">
        <v>6</v>
      </c>
      <c r="J1" s="13" t="s">
        <v>17</v>
      </c>
      <c r="K1" s="1" t="s">
        <v>20</v>
      </c>
      <c r="L1" s="1" t="s">
        <v>21</v>
      </c>
      <c r="M1" s="1" t="s">
        <v>18</v>
      </c>
      <c r="N1" s="1" t="s">
        <v>22</v>
      </c>
      <c r="O1" s="1" t="s">
        <v>25</v>
      </c>
      <c r="P1" s="1" t="s">
        <v>24</v>
      </c>
      <c r="Q1" s="1" t="s">
        <v>23</v>
      </c>
    </row>
    <row r="2" spans="1:17">
      <c r="A2" t="s">
        <v>27</v>
      </c>
      <c r="B2">
        <v>200000</v>
      </c>
      <c r="C2" s="10">
        <v>1</v>
      </c>
      <c r="D2" s="10">
        <v>0.2</v>
      </c>
      <c r="E2" s="12">
        <v>0.3</v>
      </c>
      <c r="F2" s="15">
        <v>0.4</v>
      </c>
      <c r="G2" s="12">
        <v>0.2</v>
      </c>
      <c r="H2" s="15">
        <v>0.2</v>
      </c>
      <c r="I2">
        <f>B2*C2*D2*(E2*F2+G2*H2)</f>
        <v>6400</v>
      </c>
      <c r="J2" s="11">
        <v>795</v>
      </c>
      <c r="K2" s="10">
        <v>0.4</v>
      </c>
      <c r="L2" s="10">
        <v>0.5</v>
      </c>
      <c r="M2" s="11">
        <f>J2*(1-K2)*(1-L2)</f>
        <v>238.5</v>
      </c>
      <c r="N2">
        <v>100</v>
      </c>
      <c r="O2" s="11">
        <f>I2*J2</f>
        <v>5088000</v>
      </c>
      <c r="P2" s="11">
        <f>N2*I2</f>
        <v>640000</v>
      </c>
      <c r="Q2" s="11">
        <f>O2-P2</f>
        <v>4448000</v>
      </c>
    </row>
    <row r="3" spans="1:17">
      <c r="A3" t="s">
        <v>28</v>
      </c>
      <c r="B3">
        <v>15000</v>
      </c>
      <c r="C3" s="10">
        <v>0.5</v>
      </c>
      <c r="D3" s="10">
        <v>0.25</v>
      </c>
      <c r="E3" s="10">
        <v>0.3</v>
      </c>
      <c r="F3" s="15">
        <v>0.4</v>
      </c>
      <c r="G3" s="10">
        <v>0.3</v>
      </c>
      <c r="H3" s="15">
        <v>0.2</v>
      </c>
      <c r="I3">
        <f>B3*C3*D3*(E3*F3+G3*H3)</f>
        <v>337.5</v>
      </c>
      <c r="J3">
        <v>1500</v>
      </c>
      <c r="K3" s="12">
        <v>0</v>
      </c>
      <c r="L3" s="10">
        <v>0.4</v>
      </c>
      <c r="M3" s="11">
        <f>J3*(1-K3)*(1-L3)</f>
        <v>900</v>
      </c>
      <c r="N3">
        <v>100</v>
      </c>
      <c r="O3" s="11">
        <f>I3*J3</f>
        <v>506250</v>
      </c>
      <c r="P3" s="11">
        <f>N3*I3</f>
        <v>33750</v>
      </c>
      <c r="Q3" s="11">
        <f>O3-P3</f>
        <v>472500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4" zoomScale="200" zoomScaleNormal="200" zoomScalePageLayoutView="200" workbookViewId="0">
      <selection activeCell="S14" sqref="S14"/>
    </sheetView>
  </sheetViews>
  <sheetFormatPr baseColWidth="10" defaultRowHeight="15" x14ac:dyDescent="0"/>
  <cols>
    <col min="2" max="2" width="10.33203125" customWidth="1"/>
    <col min="3" max="3" width="10.5" customWidth="1"/>
    <col min="4" max="4" width="9" customWidth="1"/>
    <col min="5" max="5" width="10.5" customWidth="1"/>
    <col min="6" max="6" width="12" customWidth="1"/>
    <col min="7" max="7" width="9.6640625" customWidth="1"/>
    <col min="8" max="8" width="10.5" customWidth="1"/>
    <col min="9" max="9" width="10.1640625" customWidth="1"/>
    <col min="10" max="10" width="11.6640625" customWidth="1"/>
    <col min="11" max="11" width="10.83203125" customWidth="1"/>
    <col min="12" max="12" width="10.1640625" customWidth="1"/>
    <col min="13" max="13" width="9" customWidth="1"/>
    <col min="15" max="15" width="9.5" customWidth="1"/>
    <col min="16" max="16" width="8.5" customWidth="1"/>
    <col min="17" max="18" width="10.83203125" customWidth="1"/>
    <col min="19" max="19" width="13" customWidth="1"/>
  </cols>
  <sheetData>
    <row r="1" spans="1:19" ht="45">
      <c r="A1" t="s">
        <v>29</v>
      </c>
      <c r="B1" s="1" t="s">
        <v>0</v>
      </c>
      <c r="C1" s="1" t="s">
        <v>10</v>
      </c>
      <c r="D1" s="1" t="s">
        <v>9</v>
      </c>
      <c r="E1" s="1" t="s">
        <v>1</v>
      </c>
      <c r="F1" s="1" t="s">
        <v>2</v>
      </c>
      <c r="G1" s="1" t="s">
        <v>3</v>
      </c>
      <c r="H1" s="1" t="s">
        <v>19</v>
      </c>
      <c r="I1" s="1" t="s">
        <v>4</v>
      </c>
      <c r="J1" s="1" t="s">
        <v>5</v>
      </c>
      <c r="K1" s="1" t="s">
        <v>8</v>
      </c>
      <c r="L1" s="13" t="s">
        <v>17</v>
      </c>
      <c r="M1" s="1" t="s">
        <v>20</v>
      </c>
      <c r="N1" s="1" t="s">
        <v>21</v>
      </c>
      <c r="O1" s="1" t="s">
        <v>18</v>
      </c>
      <c r="P1" s="1" t="s">
        <v>22</v>
      </c>
      <c r="Q1" s="1" t="s">
        <v>25</v>
      </c>
      <c r="R1" s="1" t="s">
        <v>24</v>
      </c>
      <c r="S1" s="1" t="s">
        <v>23</v>
      </c>
    </row>
    <row r="2" spans="1:19">
      <c r="A2" s="29" t="s">
        <v>30</v>
      </c>
      <c r="B2" s="4">
        <v>150000</v>
      </c>
      <c r="C2" s="5">
        <v>0.05</v>
      </c>
      <c r="D2" s="6">
        <v>1</v>
      </c>
      <c r="E2" s="14">
        <v>1</v>
      </c>
      <c r="F2" s="8">
        <v>0.25</v>
      </c>
      <c r="G2" s="8">
        <v>0.25</v>
      </c>
      <c r="H2" s="8">
        <v>0.4</v>
      </c>
      <c r="I2" s="8"/>
      <c r="J2" s="8">
        <v>0.2</v>
      </c>
      <c r="K2" s="16">
        <f t="shared" ref="K2:K6" si="0">B2*C2*D2*E2*F2*(G2*H2+I2*J2)</f>
        <v>187.5</v>
      </c>
    </row>
    <row r="3" spans="1:19">
      <c r="A3" s="29"/>
      <c r="B3" s="4">
        <v>150000</v>
      </c>
      <c r="C3" s="5">
        <v>0.1</v>
      </c>
      <c r="D3" s="6">
        <f>1/2</f>
        <v>0.5</v>
      </c>
      <c r="E3" s="14">
        <v>1</v>
      </c>
      <c r="F3" s="8">
        <v>0.25</v>
      </c>
      <c r="G3" s="8">
        <v>0.25</v>
      </c>
      <c r="H3" s="8">
        <v>0.4</v>
      </c>
      <c r="I3" s="8"/>
      <c r="J3" s="8">
        <v>0.2</v>
      </c>
      <c r="K3" s="16">
        <f t="shared" si="0"/>
        <v>187.5</v>
      </c>
    </row>
    <row r="4" spans="1:19">
      <c r="A4" s="29"/>
      <c r="B4" s="4">
        <v>150000</v>
      </c>
      <c r="C4" s="5">
        <v>0.2</v>
      </c>
      <c r="D4" s="6">
        <f>1/3</f>
        <v>0.33333333333333331</v>
      </c>
      <c r="E4" s="14">
        <v>1</v>
      </c>
      <c r="F4" s="8">
        <v>0.25</v>
      </c>
      <c r="G4" s="8">
        <v>0.25</v>
      </c>
      <c r="H4" s="8">
        <v>0.4</v>
      </c>
      <c r="I4" s="8"/>
      <c r="J4" s="8">
        <v>0.2</v>
      </c>
      <c r="K4" s="16">
        <f t="shared" si="0"/>
        <v>250</v>
      </c>
    </row>
    <row r="5" spans="1:19">
      <c r="A5" s="29"/>
      <c r="B5" s="4">
        <v>150000</v>
      </c>
      <c r="C5" s="5">
        <v>0.1</v>
      </c>
      <c r="D5" s="6">
        <f>1/5</f>
        <v>0.2</v>
      </c>
      <c r="E5" s="14">
        <v>1</v>
      </c>
      <c r="F5" s="8">
        <v>0.25</v>
      </c>
      <c r="G5" s="8">
        <v>0.25</v>
      </c>
      <c r="H5" s="8">
        <v>0.4</v>
      </c>
      <c r="I5" s="8"/>
      <c r="J5" s="8">
        <v>0.2</v>
      </c>
      <c r="K5" s="16">
        <f t="shared" si="0"/>
        <v>75</v>
      </c>
    </row>
    <row r="6" spans="1:19">
      <c r="A6" s="29"/>
      <c r="B6" s="4">
        <v>150000</v>
      </c>
      <c r="C6" s="5">
        <f>1-SUM(C2:C5)</f>
        <v>0.54999999999999993</v>
      </c>
      <c r="D6" s="6">
        <v>0</v>
      </c>
      <c r="E6" s="14">
        <v>1</v>
      </c>
      <c r="F6" s="8">
        <v>0.25</v>
      </c>
      <c r="G6" s="8">
        <v>0.25</v>
      </c>
      <c r="H6" s="8">
        <v>0.4</v>
      </c>
      <c r="I6" s="8"/>
      <c r="J6" s="8">
        <v>0.2</v>
      </c>
      <c r="K6" s="16">
        <f t="shared" si="0"/>
        <v>0</v>
      </c>
    </row>
    <row r="7" spans="1:19">
      <c r="K7" s="17">
        <f>SUM(K2:K6)</f>
        <v>700</v>
      </c>
      <c r="L7">
        <v>1500</v>
      </c>
      <c r="M7" s="12">
        <v>0</v>
      </c>
      <c r="N7" s="10">
        <v>0.4</v>
      </c>
      <c r="O7" s="11">
        <f>L7*(1-M7)*(1-N7)</f>
        <v>900</v>
      </c>
      <c r="P7">
        <v>100</v>
      </c>
      <c r="Q7" s="11">
        <f>K7*L7</f>
        <v>1050000</v>
      </c>
      <c r="R7" s="11">
        <f>P7*K7</f>
        <v>70000</v>
      </c>
      <c r="S7" s="11">
        <f>Q7-R7</f>
        <v>980000</v>
      </c>
    </row>
    <row r="8" spans="1:19">
      <c r="K8" s="18"/>
    </row>
    <row r="9" spans="1:19">
      <c r="K9" s="18"/>
    </row>
    <row r="10" spans="1:19">
      <c r="A10" s="29" t="s">
        <v>27</v>
      </c>
      <c r="B10" s="4">
        <v>200000</v>
      </c>
      <c r="C10" s="5">
        <f>1/3</f>
        <v>0.33333333333333331</v>
      </c>
      <c r="D10" s="6">
        <v>1</v>
      </c>
      <c r="E10" s="14">
        <v>1</v>
      </c>
      <c r="F10" s="8">
        <v>0.4</v>
      </c>
      <c r="G10" s="8">
        <v>0.25</v>
      </c>
      <c r="H10" s="8">
        <v>0.4</v>
      </c>
      <c r="I10" s="8"/>
      <c r="J10" s="8">
        <v>0.2</v>
      </c>
      <c r="K10" s="16">
        <f t="shared" ref="K10:K13" si="1">B10*C10*D10*E10*F10*(G10*H10+I10*J10)</f>
        <v>2666.6666666666665</v>
      </c>
    </row>
    <row r="11" spans="1:19">
      <c r="A11" s="29"/>
      <c r="B11" s="4">
        <v>200000</v>
      </c>
      <c r="C11" s="5">
        <f>1/6</f>
        <v>0.16666666666666666</v>
      </c>
      <c r="D11" s="6">
        <f>1/3</f>
        <v>0.33333333333333331</v>
      </c>
      <c r="E11" s="14">
        <v>1</v>
      </c>
      <c r="F11" s="8">
        <v>0.4</v>
      </c>
      <c r="G11" s="8">
        <v>0.25</v>
      </c>
      <c r="H11" s="8">
        <v>0.4</v>
      </c>
      <c r="I11" s="8"/>
      <c r="J11" s="8">
        <v>0.2</v>
      </c>
      <c r="K11" s="16">
        <f t="shared" si="1"/>
        <v>444.44444444444446</v>
      </c>
    </row>
    <row r="12" spans="1:19">
      <c r="A12" s="29"/>
      <c r="B12" s="4">
        <v>200000</v>
      </c>
      <c r="C12" s="5"/>
      <c r="D12" s="6"/>
      <c r="E12" s="14">
        <v>1</v>
      </c>
      <c r="F12" s="8">
        <v>0.4</v>
      </c>
      <c r="G12" s="8">
        <v>1</v>
      </c>
      <c r="H12" s="8">
        <v>0.4</v>
      </c>
      <c r="I12" s="8"/>
      <c r="J12" s="8">
        <v>0.2</v>
      </c>
      <c r="K12" s="16">
        <f t="shared" si="1"/>
        <v>0</v>
      </c>
    </row>
    <row r="13" spans="1:19">
      <c r="A13" s="29"/>
      <c r="B13" s="4">
        <v>200000</v>
      </c>
      <c r="C13" s="5">
        <f>1-SUM(C10:C11)</f>
        <v>0.5</v>
      </c>
      <c r="D13" s="6">
        <v>0</v>
      </c>
      <c r="E13" s="14">
        <v>1</v>
      </c>
      <c r="F13" s="8">
        <v>0.4</v>
      </c>
      <c r="G13" s="8">
        <v>1</v>
      </c>
      <c r="H13" s="8">
        <v>0.4</v>
      </c>
      <c r="I13" s="8"/>
      <c r="J13" s="8">
        <v>0.2</v>
      </c>
      <c r="K13" s="16">
        <f t="shared" si="1"/>
        <v>0</v>
      </c>
    </row>
    <row r="14" spans="1:19">
      <c r="K14" s="17">
        <f>SUM(K10:K13)</f>
        <v>3111.1111111111109</v>
      </c>
      <c r="L14" s="11">
        <v>795</v>
      </c>
      <c r="M14" s="10">
        <v>0.4</v>
      </c>
      <c r="N14" s="10">
        <v>0.5</v>
      </c>
      <c r="O14" s="11">
        <f>L14*(1-M14)*(1-N14)</f>
        <v>238.5</v>
      </c>
      <c r="P14">
        <v>100</v>
      </c>
      <c r="Q14" s="11">
        <f>K14*L14</f>
        <v>2473333.333333333</v>
      </c>
      <c r="R14" s="11">
        <f>P14*K14</f>
        <v>311111.11111111107</v>
      </c>
      <c r="S14" s="11">
        <f>Q14-R14</f>
        <v>2162222.222222222</v>
      </c>
    </row>
  </sheetData>
  <mergeCells count="2">
    <mergeCell ref="A2:A6"/>
    <mergeCell ref="A10:A1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E1" zoomScale="150" zoomScaleNormal="150" zoomScalePageLayoutView="150" workbookViewId="0">
      <selection activeCell="F1" sqref="F1"/>
    </sheetView>
  </sheetViews>
  <sheetFormatPr baseColWidth="10" defaultRowHeight="15" x14ac:dyDescent="0"/>
  <cols>
    <col min="1" max="1" width="10.33203125" customWidth="1"/>
    <col min="2" max="2" width="10.5" customWidth="1"/>
    <col min="3" max="3" width="9" customWidth="1"/>
    <col min="4" max="4" width="10.5" customWidth="1"/>
    <col min="5" max="5" width="12" customWidth="1"/>
    <col min="6" max="6" width="9.6640625" customWidth="1"/>
    <col min="7" max="7" width="10.5" customWidth="1"/>
    <col min="8" max="8" width="10.1640625" customWidth="1"/>
    <col min="9" max="9" width="11.6640625" customWidth="1"/>
    <col min="10" max="10" width="10.83203125" customWidth="1"/>
  </cols>
  <sheetData>
    <row r="1" spans="1:12" ht="45">
      <c r="A1" s="1" t="s">
        <v>0</v>
      </c>
      <c r="B1" s="1" t="s">
        <v>10</v>
      </c>
      <c r="C1" s="1" t="s">
        <v>9</v>
      </c>
      <c r="D1" s="1" t="s">
        <v>1</v>
      </c>
      <c r="E1" s="1" t="s">
        <v>2</v>
      </c>
      <c r="F1" s="1" t="s">
        <v>3</v>
      </c>
      <c r="G1" s="1" t="s">
        <v>19</v>
      </c>
      <c r="H1" s="1" t="s">
        <v>4</v>
      </c>
      <c r="I1" s="1" t="s">
        <v>5</v>
      </c>
      <c r="J1" s="1" t="s">
        <v>8</v>
      </c>
      <c r="K1" s="1" t="s">
        <v>7</v>
      </c>
    </row>
    <row r="2" spans="1:12">
      <c r="A2" s="4">
        <v>61.2</v>
      </c>
      <c r="B2" s="5">
        <v>7.8E-2</v>
      </c>
      <c r="C2" s="4">
        <v>2</v>
      </c>
      <c r="D2" s="14">
        <v>1</v>
      </c>
      <c r="E2" s="8">
        <v>0.8</v>
      </c>
      <c r="F2" s="8">
        <v>0.27200000000000002</v>
      </c>
      <c r="G2" s="8">
        <v>1</v>
      </c>
      <c r="H2" s="8">
        <v>0.13400000000000001</v>
      </c>
      <c r="I2" s="8">
        <v>0.5</v>
      </c>
      <c r="J2" s="6">
        <f t="shared" ref="J2:J7" si="0">A2*B2*C2*D2*E2*(F2*G2+H2*I2)</f>
        <v>2.5892006400000001</v>
      </c>
      <c r="K2" s="3" t="s">
        <v>11</v>
      </c>
      <c r="L2" s="2"/>
    </row>
    <row r="3" spans="1:12">
      <c r="A3" s="4">
        <v>61.2</v>
      </c>
      <c r="B3" s="5">
        <v>0.10299999999999999</v>
      </c>
      <c r="C3" s="4">
        <f>12</f>
        <v>12</v>
      </c>
      <c r="D3" s="14">
        <v>1</v>
      </c>
      <c r="E3" s="8">
        <v>0.8</v>
      </c>
      <c r="F3" s="8">
        <v>0.27200000000000002</v>
      </c>
      <c r="G3" s="8">
        <v>1</v>
      </c>
      <c r="H3" s="8">
        <v>0.13400000000000001</v>
      </c>
      <c r="I3" s="8">
        <v>0.5</v>
      </c>
      <c r="J3" s="6">
        <f t="shared" si="0"/>
        <v>20.514435840000004</v>
      </c>
      <c r="K3" s="3" t="s">
        <v>12</v>
      </c>
      <c r="L3" s="2"/>
    </row>
    <row r="4" spans="1:12">
      <c r="A4" s="4">
        <v>61.2</v>
      </c>
      <c r="B4" s="5">
        <v>0.159</v>
      </c>
      <c r="C4" s="7">
        <f>2.5*12</f>
        <v>30</v>
      </c>
      <c r="D4" s="14">
        <v>1</v>
      </c>
      <c r="E4" s="8">
        <v>0.8</v>
      </c>
      <c r="F4" s="8">
        <v>0.27200000000000002</v>
      </c>
      <c r="G4" s="8">
        <v>1</v>
      </c>
      <c r="H4" s="8">
        <v>0.13400000000000001</v>
      </c>
      <c r="I4" s="8">
        <v>0.5</v>
      </c>
      <c r="J4" s="6">
        <f t="shared" si="0"/>
        <v>79.169788800000021</v>
      </c>
      <c r="K4" s="3" t="s">
        <v>13</v>
      </c>
      <c r="L4" s="2"/>
    </row>
    <row r="5" spans="1:12">
      <c r="A5" s="4">
        <v>61.2</v>
      </c>
      <c r="B5" s="5">
        <v>0.17699999999999999</v>
      </c>
      <c r="C5" s="4">
        <v>54</v>
      </c>
      <c r="D5" s="14">
        <v>1</v>
      </c>
      <c r="E5" s="8">
        <v>0.8</v>
      </c>
      <c r="F5" s="8">
        <v>0.27200000000000002</v>
      </c>
      <c r="G5" s="8">
        <v>1</v>
      </c>
      <c r="H5" s="8">
        <v>0.13400000000000001</v>
      </c>
      <c r="I5" s="8">
        <v>0.5</v>
      </c>
      <c r="J5" s="6">
        <f t="shared" si="0"/>
        <v>158.63833152000004</v>
      </c>
      <c r="K5" s="3" t="s">
        <v>14</v>
      </c>
      <c r="L5" s="2"/>
    </row>
    <row r="6" spans="1:12">
      <c r="A6" s="4">
        <v>61.2</v>
      </c>
      <c r="B6" s="5">
        <v>0.21199999999999999</v>
      </c>
      <c r="C6" s="7">
        <f>2.5*54</f>
        <v>135</v>
      </c>
      <c r="D6" s="14">
        <v>1</v>
      </c>
      <c r="E6" s="8">
        <v>0.8</v>
      </c>
      <c r="F6" s="8">
        <v>0.27200000000000002</v>
      </c>
      <c r="G6" s="8">
        <v>1</v>
      </c>
      <c r="H6" s="8">
        <v>0.13400000000000001</v>
      </c>
      <c r="I6" s="8">
        <v>0.5</v>
      </c>
      <c r="J6" s="6">
        <f t="shared" si="0"/>
        <v>475.01873280000007</v>
      </c>
      <c r="K6" s="3" t="s">
        <v>15</v>
      </c>
      <c r="L6" s="2"/>
    </row>
    <row r="7" spans="1:12">
      <c r="A7" s="4">
        <v>61.2</v>
      </c>
      <c r="B7" s="5">
        <v>6.3E-2</v>
      </c>
      <c r="C7" s="7">
        <f>5*54</f>
        <v>270</v>
      </c>
      <c r="D7" s="14">
        <v>1</v>
      </c>
      <c r="E7" s="8">
        <v>0.8</v>
      </c>
      <c r="F7" s="8">
        <v>0.27200000000000002</v>
      </c>
      <c r="G7" s="8">
        <v>1</v>
      </c>
      <c r="H7" s="8">
        <v>0.13400000000000001</v>
      </c>
      <c r="I7" s="8">
        <v>0.5</v>
      </c>
      <c r="J7" s="6">
        <f t="shared" si="0"/>
        <v>282.32245440000008</v>
      </c>
      <c r="K7" s="3" t="s">
        <v>16</v>
      </c>
      <c r="L7" s="2"/>
    </row>
    <row r="8" spans="1:12">
      <c r="J8" s="9">
        <f>SUM(J2:J7)</f>
        <v>1018.2529440000002</v>
      </c>
    </row>
    <row r="9" spans="1:12">
      <c r="J9" s="2"/>
    </row>
    <row r="10" spans="1:12">
      <c r="A10" s="4">
        <v>61.9</v>
      </c>
      <c r="B10" s="5">
        <v>7.8E-2</v>
      </c>
      <c r="C10" s="4">
        <v>2</v>
      </c>
      <c r="D10" s="14">
        <v>1</v>
      </c>
      <c r="E10" s="8">
        <v>0.8</v>
      </c>
      <c r="F10" s="10">
        <v>0.1</v>
      </c>
      <c r="G10" s="10">
        <v>1</v>
      </c>
      <c r="J10" s="6">
        <f t="shared" ref="J10:J15" si="1">A10*B10*C10*D10*E10*(F10*G10+H10*I10)</f>
        <v>0.77251200000000009</v>
      </c>
    </row>
    <row r="11" spans="1:12">
      <c r="A11" s="4">
        <v>61.9</v>
      </c>
      <c r="B11" s="5">
        <v>0.10299999999999999</v>
      </c>
      <c r="C11" s="4">
        <f>12</f>
        <v>12</v>
      </c>
      <c r="D11" s="14">
        <v>1</v>
      </c>
      <c r="E11" s="8">
        <v>0.8</v>
      </c>
      <c r="F11" s="10">
        <v>0.1</v>
      </c>
      <c r="G11" s="10">
        <v>1</v>
      </c>
      <c r="J11" s="6">
        <f t="shared" si="1"/>
        <v>6.1206719999999999</v>
      </c>
    </row>
    <row r="12" spans="1:12">
      <c r="A12" s="4">
        <v>61.9</v>
      </c>
      <c r="B12" s="5">
        <v>0.159</v>
      </c>
      <c r="C12" s="7">
        <f>2.5*12</f>
        <v>30</v>
      </c>
      <c r="D12" s="14">
        <v>1</v>
      </c>
      <c r="E12" s="8">
        <v>0.8</v>
      </c>
      <c r="F12" s="10">
        <v>0.1</v>
      </c>
      <c r="G12" s="10">
        <v>1</v>
      </c>
      <c r="J12" s="6">
        <f t="shared" si="1"/>
        <v>23.621040000000008</v>
      </c>
    </row>
    <row r="13" spans="1:12">
      <c r="A13" s="4">
        <v>61.9</v>
      </c>
      <c r="B13" s="5">
        <v>0.17699999999999999</v>
      </c>
      <c r="C13" s="4">
        <v>54</v>
      </c>
      <c r="D13" s="14">
        <v>1</v>
      </c>
      <c r="E13" s="8">
        <v>0.8</v>
      </c>
      <c r="F13" s="10">
        <v>0.1</v>
      </c>
      <c r="G13" s="10">
        <v>1</v>
      </c>
      <c r="J13" s="6">
        <f t="shared" si="1"/>
        <v>47.331215999999998</v>
      </c>
    </row>
    <row r="14" spans="1:12">
      <c r="A14" s="4">
        <v>61.9</v>
      </c>
      <c r="B14" s="5">
        <v>0.21199999999999999</v>
      </c>
      <c r="C14" s="7">
        <f>2.5*54</f>
        <v>135</v>
      </c>
      <c r="D14" s="14">
        <v>1</v>
      </c>
      <c r="E14" s="8">
        <v>0.8</v>
      </c>
      <c r="F14" s="10">
        <v>0.1</v>
      </c>
      <c r="G14" s="10">
        <v>1</v>
      </c>
      <c r="J14" s="6">
        <f t="shared" si="1"/>
        <v>141.72624000000002</v>
      </c>
    </row>
    <row r="15" spans="1:12">
      <c r="A15" s="4">
        <v>61.9</v>
      </c>
      <c r="B15" s="5">
        <v>6.3E-2</v>
      </c>
      <c r="C15" s="7">
        <f>5*54</f>
        <v>270</v>
      </c>
      <c r="D15" s="14">
        <v>1</v>
      </c>
      <c r="E15" s="8">
        <v>0.8</v>
      </c>
      <c r="F15" s="10">
        <v>0.1</v>
      </c>
      <c r="G15" s="10">
        <v>1</v>
      </c>
      <c r="J15" s="6">
        <f t="shared" si="1"/>
        <v>84.233519999999999</v>
      </c>
    </row>
    <row r="16" spans="1:12">
      <c r="D16" s="14"/>
      <c r="E16" s="8"/>
      <c r="F16" s="10"/>
      <c r="G16" s="10"/>
      <c r="J16" s="9">
        <f>SUM(J10:J15)</f>
        <v>303.80520000000001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opLeftCell="A15" zoomScale="200" zoomScaleNormal="200" zoomScalePageLayoutView="200" workbookViewId="0">
      <selection activeCell="B25" sqref="B25"/>
    </sheetView>
  </sheetViews>
  <sheetFormatPr baseColWidth="10" defaultRowHeight="15" x14ac:dyDescent="0"/>
  <cols>
    <col min="1" max="1" width="13.6640625" style="19" customWidth="1"/>
    <col min="2" max="2" width="16.6640625" style="19" bestFit="1" customWidth="1"/>
    <col min="3" max="3" width="4.83203125" style="19" customWidth="1"/>
    <col min="4" max="4" width="5.5" style="19" customWidth="1"/>
    <col min="5" max="18" width="5.5" customWidth="1"/>
    <col min="19" max="28" width="5" customWidth="1"/>
  </cols>
  <sheetData>
    <row r="1" spans="1:29">
      <c r="A1" s="19" t="s">
        <v>31</v>
      </c>
      <c r="B1" s="19" t="s">
        <v>38</v>
      </c>
      <c r="C1" s="19">
        <v>0</v>
      </c>
      <c r="D1" s="19">
        <v>1</v>
      </c>
      <c r="E1" s="19">
        <v>2</v>
      </c>
      <c r="F1" s="19">
        <v>3</v>
      </c>
      <c r="G1" s="19">
        <v>4</v>
      </c>
      <c r="H1" s="19">
        <v>5</v>
      </c>
      <c r="I1" s="19">
        <v>6</v>
      </c>
      <c r="J1" s="19">
        <v>7</v>
      </c>
      <c r="K1" s="19">
        <v>8</v>
      </c>
      <c r="L1" s="19">
        <v>9</v>
      </c>
      <c r="M1" s="19">
        <v>10</v>
      </c>
      <c r="N1" s="19">
        <v>11</v>
      </c>
      <c r="O1" s="19">
        <v>12</v>
      </c>
      <c r="P1" s="19">
        <v>13</v>
      </c>
      <c r="Q1" s="19">
        <v>14</v>
      </c>
      <c r="R1" s="19">
        <v>15</v>
      </c>
      <c r="S1" s="19">
        <v>16</v>
      </c>
      <c r="T1" s="19">
        <v>17</v>
      </c>
      <c r="U1" s="19">
        <v>18</v>
      </c>
      <c r="V1" s="19">
        <v>19</v>
      </c>
      <c r="W1" s="19">
        <v>20</v>
      </c>
      <c r="X1" s="19">
        <v>21</v>
      </c>
      <c r="Y1" s="19">
        <v>22</v>
      </c>
      <c r="Z1" s="19">
        <v>23</v>
      </c>
      <c r="AA1" s="19">
        <v>24</v>
      </c>
      <c r="AB1" s="19">
        <v>25</v>
      </c>
      <c r="AC1" s="19"/>
    </row>
    <row r="2" spans="1:29">
      <c r="A2" s="20" t="s">
        <v>32</v>
      </c>
      <c r="B2" s="21">
        <v>0.114</v>
      </c>
      <c r="C2" s="22">
        <f>$B2</f>
        <v>0.114</v>
      </c>
    </row>
    <row r="3" spans="1:29">
      <c r="A3" s="20" t="s">
        <v>33</v>
      </c>
      <c r="B3" s="21">
        <v>0.15</v>
      </c>
      <c r="D3" s="22">
        <f t="shared" ref="D3:E4" si="0">$B3</f>
        <v>0.15</v>
      </c>
    </row>
    <row r="4" spans="1:29">
      <c r="A4" s="20" t="s">
        <v>34</v>
      </c>
      <c r="B4" s="21">
        <v>7.5999999999999998E-2</v>
      </c>
      <c r="E4" s="22">
        <f t="shared" si="0"/>
        <v>7.5999999999999998E-2</v>
      </c>
    </row>
    <row r="5" spans="1:29">
      <c r="A5" s="20" t="s">
        <v>35</v>
      </c>
      <c r="B5" s="21">
        <v>0.26500000000000001</v>
      </c>
      <c r="F5" s="22">
        <f>$B5/4</f>
        <v>6.6250000000000003E-2</v>
      </c>
      <c r="G5" s="22">
        <f t="shared" ref="G5:I5" si="1">$B5/4</f>
        <v>6.6250000000000003E-2</v>
      </c>
      <c r="H5" s="22">
        <f t="shared" si="1"/>
        <v>6.6250000000000003E-2</v>
      </c>
      <c r="I5" s="22">
        <f t="shared" si="1"/>
        <v>6.6250000000000003E-2</v>
      </c>
      <c r="J5" s="10"/>
    </row>
    <row r="6" spans="1:29">
      <c r="A6" s="20" t="s">
        <v>36</v>
      </c>
      <c r="B6" s="21">
        <v>0.18099999999999999</v>
      </c>
      <c r="J6" s="22">
        <f>$B6/9</f>
        <v>2.0111111111111111E-2</v>
      </c>
      <c r="K6" s="22">
        <f t="shared" ref="K6:R6" si="2">$B6/9</f>
        <v>2.0111111111111111E-2</v>
      </c>
      <c r="L6" s="22">
        <f t="shared" si="2"/>
        <v>2.0111111111111111E-2</v>
      </c>
      <c r="M6" s="22">
        <f t="shared" si="2"/>
        <v>2.0111111111111111E-2</v>
      </c>
      <c r="N6" s="22">
        <f t="shared" si="2"/>
        <v>2.0111111111111111E-2</v>
      </c>
      <c r="O6" s="22">
        <f t="shared" si="2"/>
        <v>2.0111111111111111E-2</v>
      </c>
      <c r="P6" s="22">
        <f t="shared" si="2"/>
        <v>2.0111111111111111E-2</v>
      </c>
      <c r="Q6" s="22">
        <f t="shared" si="2"/>
        <v>2.0111111111111111E-2</v>
      </c>
      <c r="R6" s="22">
        <f t="shared" si="2"/>
        <v>2.0111111111111111E-2</v>
      </c>
    </row>
    <row r="7" spans="1:29">
      <c r="A7" s="20" t="s">
        <v>37</v>
      </c>
      <c r="B7" s="21">
        <v>0.214</v>
      </c>
      <c r="S7" s="22">
        <f>$B7/10</f>
        <v>2.1399999999999999E-2</v>
      </c>
      <c r="T7" s="22">
        <f t="shared" ref="T7:AB7" si="3">$B7/10</f>
        <v>2.1399999999999999E-2</v>
      </c>
      <c r="U7" s="22">
        <f t="shared" si="3"/>
        <v>2.1399999999999999E-2</v>
      </c>
      <c r="V7" s="22">
        <f t="shared" si="3"/>
        <v>2.1399999999999999E-2</v>
      </c>
      <c r="W7" s="22">
        <f t="shared" si="3"/>
        <v>2.1399999999999999E-2</v>
      </c>
      <c r="X7" s="22">
        <f t="shared" si="3"/>
        <v>2.1399999999999999E-2</v>
      </c>
      <c r="Y7" s="22">
        <f t="shared" si="3"/>
        <v>2.1399999999999999E-2</v>
      </c>
      <c r="Z7" s="22">
        <f t="shared" si="3"/>
        <v>2.1399999999999999E-2</v>
      </c>
      <c r="AA7" s="22">
        <f t="shared" si="3"/>
        <v>2.1399999999999999E-2</v>
      </c>
      <c r="AB7" s="22">
        <f t="shared" si="3"/>
        <v>2.1399999999999999E-2</v>
      </c>
    </row>
    <row r="8" spans="1:29">
      <c r="B8" s="27">
        <v>61.2</v>
      </c>
      <c r="C8" s="23">
        <f>$B8*SUM(C2:C7)*C1</f>
        <v>0</v>
      </c>
      <c r="D8" s="23">
        <f t="shared" ref="D8:AB8" si="4">$B8*SUM(D2:D7)*D1</f>
        <v>9.18</v>
      </c>
      <c r="E8" s="23">
        <f t="shared" si="4"/>
        <v>9.3024000000000004</v>
      </c>
      <c r="F8" s="23">
        <f t="shared" si="4"/>
        <v>12.163499999999999</v>
      </c>
      <c r="G8" s="23">
        <f t="shared" si="4"/>
        <v>16.218</v>
      </c>
      <c r="H8" s="23">
        <f t="shared" si="4"/>
        <v>20.272500000000001</v>
      </c>
      <c r="I8" s="23">
        <f t="shared" si="4"/>
        <v>24.326999999999998</v>
      </c>
      <c r="J8" s="23">
        <f t="shared" si="4"/>
        <v>8.6156000000000006</v>
      </c>
      <c r="K8" s="23">
        <f t="shared" si="4"/>
        <v>9.8464000000000009</v>
      </c>
      <c r="L8" s="23">
        <f t="shared" si="4"/>
        <v>11.077200000000001</v>
      </c>
      <c r="M8" s="23">
        <f t="shared" si="4"/>
        <v>12.308000000000002</v>
      </c>
      <c r="N8" s="23">
        <f t="shared" si="4"/>
        <v>13.538800000000002</v>
      </c>
      <c r="O8" s="23">
        <f t="shared" si="4"/>
        <v>14.769600000000001</v>
      </c>
      <c r="P8" s="23">
        <f t="shared" si="4"/>
        <v>16.000400000000003</v>
      </c>
      <c r="Q8" s="23">
        <f t="shared" si="4"/>
        <v>17.231200000000001</v>
      </c>
      <c r="R8" s="23">
        <f t="shared" si="4"/>
        <v>18.462000000000003</v>
      </c>
      <c r="S8" s="23">
        <f t="shared" si="4"/>
        <v>20.954879999999999</v>
      </c>
      <c r="T8" s="23">
        <f t="shared" si="4"/>
        <v>22.264559999999999</v>
      </c>
      <c r="U8" s="23">
        <f t="shared" si="4"/>
        <v>23.57424</v>
      </c>
      <c r="V8" s="23">
        <f t="shared" si="4"/>
        <v>24.88392</v>
      </c>
      <c r="W8" s="23">
        <f t="shared" si="4"/>
        <v>26.1936</v>
      </c>
      <c r="X8" s="23">
        <f t="shared" si="4"/>
        <v>27.50328</v>
      </c>
      <c r="Y8" s="23">
        <f t="shared" si="4"/>
        <v>28.81296</v>
      </c>
      <c r="Z8" s="23">
        <f t="shared" si="4"/>
        <v>30.122640000000001</v>
      </c>
      <c r="AA8" s="23">
        <f t="shared" si="4"/>
        <v>31.432319999999997</v>
      </c>
      <c r="AB8" s="23">
        <f t="shared" si="4"/>
        <v>32.741999999999997</v>
      </c>
    </row>
    <row r="9" spans="1:29">
      <c r="A9" s="19" t="s">
        <v>40</v>
      </c>
      <c r="B9" s="19">
        <f>SUM(C8:AB8)</f>
        <v>481.79700000000003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1" spans="1:29">
      <c r="B11" s="19" t="s">
        <v>39</v>
      </c>
    </row>
    <row r="12" spans="1:29">
      <c r="A12" s="20" t="s">
        <v>32</v>
      </c>
      <c r="B12" s="21">
        <v>0.113</v>
      </c>
      <c r="C12" s="22">
        <f>$B12</f>
        <v>0.113</v>
      </c>
    </row>
    <row r="13" spans="1:29">
      <c r="A13" s="20" t="s">
        <v>33</v>
      </c>
      <c r="B13" s="21">
        <v>0.222</v>
      </c>
      <c r="D13" s="22">
        <f t="shared" ref="D13:E14" si="5">$B13</f>
        <v>0.222</v>
      </c>
    </row>
    <row r="14" spans="1:29">
      <c r="A14" s="20" t="s">
        <v>34</v>
      </c>
      <c r="B14" s="21">
        <v>0.107</v>
      </c>
      <c r="E14" s="22">
        <f t="shared" si="5"/>
        <v>0.107</v>
      </c>
    </row>
    <row r="15" spans="1:29">
      <c r="A15" s="20" t="s">
        <v>35</v>
      </c>
      <c r="B15" s="21">
        <v>0.316</v>
      </c>
      <c r="F15" s="22">
        <f>$B15/4</f>
        <v>7.9000000000000001E-2</v>
      </c>
      <c r="G15" s="22">
        <f t="shared" ref="G15:I15" si="6">$B15/4</f>
        <v>7.9000000000000001E-2</v>
      </c>
      <c r="H15" s="22">
        <f t="shared" si="6"/>
        <v>7.9000000000000001E-2</v>
      </c>
      <c r="I15" s="22">
        <f t="shared" si="6"/>
        <v>7.9000000000000001E-2</v>
      </c>
      <c r="J15" s="10"/>
    </row>
    <row r="16" spans="1:29">
      <c r="A16" s="20" t="s">
        <v>36</v>
      </c>
      <c r="B16" s="21">
        <v>0.16</v>
      </c>
      <c r="J16" s="22">
        <f>$B16/9</f>
        <v>1.7777777777777778E-2</v>
      </c>
      <c r="K16" s="22">
        <f t="shared" ref="K16:R16" si="7">$B16/9</f>
        <v>1.7777777777777778E-2</v>
      </c>
      <c r="L16" s="22">
        <f t="shared" si="7"/>
        <v>1.7777777777777778E-2</v>
      </c>
      <c r="M16" s="22">
        <f t="shared" si="7"/>
        <v>1.7777777777777778E-2</v>
      </c>
      <c r="N16" s="22">
        <f t="shared" si="7"/>
        <v>1.7777777777777778E-2</v>
      </c>
      <c r="O16" s="22">
        <f t="shared" si="7"/>
        <v>1.7777777777777778E-2</v>
      </c>
      <c r="P16" s="22">
        <f t="shared" si="7"/>
        <v>1.7777777777777778E-2</v>
      </c>
      <c r="Q16" s="22">
        <f t="shared" si="7"/>
        <v>1.7777777777777778E-2</v>
      </c>
      <c r="R16" s="22">
        <f t="shared" si="7"/>
        <v>1.7777777777777778E-2</v>
      </c>
    </row>
    <row r="17" spans="1:28">
      <c r="A17" s="20" t="s">
        <v>37</v>
      </c>
      <c r="B17" s="21">
        <v>8.3000000000000004E-2</v>
      </c>
      <c r="S17" s="22">
        <f>$B17/10</f>
        <v>8.3000000000000001E-3</v>
      </c>
      <c r="T17" s="22">
        <f t="shared" ref="T17:AB17" si="8">$B17/10</f>
        <v>8.3000000000000001E-3</v>
      </c>
      <c r="U17" s="22">
        <f t="shared" si="8"/>
        <v>8.3000000000000001E-3</v>
      </c>
      <c r="V17" s="22">
        <f t="shared" si="8"/>
        <v>8.3000000000000001E-3</v>
      </c>
      <c r="W17" s="22">
        <f t="shared" si="8"/>
        <v>8.3000000000000001E-3</v>
      </c>
      <c r="X17" s="22">
        <f t="shared" si="8"/>
        <v>8.3000000000000001E-3</v>
      </c>
      <c r="Y17" s="22">
        <f t="shared" si="8"/>
        <v>8.3000000000000001E-3</v>
      </c>
      <c r="Z17" s="22">
        <f t="shared" si="8"/>
        <v>8.3000000000000001E-3</v>
      </c>
      <c r="AA17" s="22">
        <f t="shared" si="8"/>
        <v>8.3000000000000001E-3</v>
      </c>
      <c r="AB17" s="22">
        <f t="shared" si="8"/>
        <v>8.3000000000000001E-3</v>
      </c>
    </row>
    <row r="18" spans="1:28">
      <c r="B18" s="27">
        <v>61.9</v>
      </c>
      <c r="C18" s="23">
        <f>$B18*SUM(C12:C17)*C$1</f>
        <v>0</v>
      </c>
      <c r="D18" s="23">
        <f t="shared" ref="D18:AB18" si="9">$B18*SUM(D12:D17)*D$1</f>
        <v>13.7418</v>
      </c>
      <c r="E18" s="23">
        <f t="shared" si="9"/>
        <v>13.246599999999999</v>
      </c>
      <c r="F18" s="23">
        <f t="shared" si="9"/>
        <v>14.670300000000001</v>
      </c>
      <c r="G18" s="23">
        <f t="shared" si="9"/>
        <v>19.560400000000001</v>
      </c>
      <c r="H18" s="23">
        <f t="shared" si="9"/>
        <v>24.450500000000002</v>
      </c>
      <c r="I18" s="23">
        <f t="shared" si="9"/>
        <v>29.340600000000002</v>
      </c>
      <c r="J18" s="23">
        <f t="shared" si="9"/>
        <v>7.7031111111111104</v>
      </c>
      <c r="K18" s="23">
        <f t="shared" si="9"/>
        <v>8.8035555555555547</v>
      </c>
      <c r="L18" s="23">
        <f t="shared" si="9"/>
        <v>9.9039999999999999</v>
      </c>
      <c r="M18" s="23">
        <f t="shared" si="9"/>
        <v>11.004444444444443</v>
      </c>
      <c r="N18" s="23">
        <f t="shared" si="9"/>
        <v>12.104888888888887</v>
      </c>
      <c r="O18" s="23">
        <f t="shared" si="9"/>
        <v>13.205333333333332</v>
      </c>
      <c r="P18" s="23">
        <f t="shared" si="9"/>
        <v>14.305777777777777</v>
      </c>
      <c r="Q18" s="23">
        <f t="shared" si="9"/>
        <v>15.406222222222221</v>
      </c>
      <c r="R18" s="23">
        <f t="shared" si="9"/>
        <v>16.506666666666664</v>
      </c>
      <c r="S18" s="23">
        <f t="shared" si="9"/>
        <v>8.2203199999999992</v>
      </c>
      <c r="T18" s="23">
        <f t="shared" si="9"/>
        <v>8.7340899999999984</v>
      </c>
      <c r="U18" s="23">
        <f t="shared" si="9"/>
        <v>9.2478599999999993</v>
      </c>
      <c r="V18" s="23">
        <f t="shared" si="9"/>
        <v>9.7616299999999985</v>
      </c>
      <c r="W18" s="23">
        <f t="shared" si="9"/>
        <v>10.275399999999999</v>
      </c>
      <c r="X18" s="23">
        <f t="shared" si="9"/>
        <v>10.789169999999999</v>
      </c>
      <c r="Y18" s="23">
        <f t="shared" si="9"/>
        <v>11.30294</v>
      </c>
      <c r="Z18" s="23">
        <f t="shared" si="9"/>
        <v>11.816709999999999</v>
      </c>
      <c r="AA18" s="23">
        <f t="shared" si="9"/>
        <v>12.330479999999998</v>
      </c>
      <c r="AB18" s="23">
        <f t="shared" si="9"/>
        <v>12.844249999999999</v>
      </c>
    </row>
    <row r="19" spans="1:28">
      <c r="A19" s="19" t="s">
        <v>40</v>
      </c>
      <c r="B19" s="25">
        <f>SUM(C18:AB18)</f>
        <v>329.27704999999997</v>
      </c>
    </row>
    <row r="21" spans="1:28">
      <c r="A21" s="19" t="str">
        <f>"#Woman &gt;"&amp;MAX(C1:AB1)</f>
        <v>#Woman &gt;25</v>
      </c>
      <c r="B21" s="24">
        <f>(B9-B19)/(MAX(C1:AB1)+1)</f>
        <v>5.8661519230769255</v>
      </c>
    </row>
    <row r="22" spans="1:28">
      <c r="B22" s="26">
        <f>B21/B18</f>
        <v>9.4768205542438214E-2</v>
      </c>
    </row>
    <row r="24" spans="1:28">
      <c r="A24" s="19" t="s">
        <v>42</v>
      </c>
      <c r="B24" s="27">
        <f>AB17*B18</f>
        <v>0.51376999999999995</v>
      </c>
    </row>
    <row r="25" spans="1:28">
      <c r="A25" s="19" t="s">
        <v>41</v>
      </c>
      <c r="B25" s="28">
        <f>(B19-AB18)/(AB17*B18)</f>
        <v>615.9036144578314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Scooter</vt:lpstr>
      <vt:lpstr>Scooter Repeated</vt:lpstr>
      <vt:lpstr>Condoms</vt:lpstr>
      <vt:lpstr>Calculation</vt:lpstr>
    </vt:vector>
  </TitlesOfParts>
  <Company>University of Trento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Massacci</dc:creator>
  <cp:lastModifiedBy>Fabio Massacci</cp:lastModifiedBy>
  <dcterms:created xsi:type="dcterms:W3CDTF">2017-03-29T10:31:38Z</dcterms:created>
  <dcterms:modified xsi:type="dcterms:W3CDTF">2017-03-31T09:40:16Z</dcterms:modified>
</cp:coreProperties>
</file>